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６（2024）年度報酬改定☆\99_各種作業\処遇改善\04_事務連絡・様式等\"/>
    </mc:Choice>
  </mc:AlternateContent>
  <xr:revisionPtr revIDLastSave="0" documentId="13_ncr:1_{EC7BE41D-319A-4DBA-8CA1-AF8EF7FDBCA9}"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J105" i="3" s="1"/>
  <c r="T105" i="3" s="1"/>
  <c r="N12" i="3" s="1"/>
  <c r="J103" i="3"/>
  <c r="Q9" i="3"/>
  <c r="O105" i="3" s="1"/>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<sst xmlns="http://schemas.openxmlformats.org/spreadsheetml/2006/main" count="3996" uniqueCount="2046">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</sst>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406" t="s">
        <v>0</v>
      </c>
      <c r="AB1" s="406"/>
      <c r="AC1" s="406"/>
      <c r="AD1" s="384" t="str">
        <f>IF(G5="","",G5)</f>
        <v>札幌市</v>
      </c>
      <c r="AE1" s="384"/>
      <c r="AF1" s="384"/>
      <c r="AG1" s="384"/>
      <c r="AH1" s="384"/>
      <c r="AI1" s="384"/>
      <c r="AJ1" s="384"/>
      <c r="AK1" s="384"/>
    </row>
    <row r="2" spans="2:65" ht="23.25" customHeight="1">
      <c r="B2" s="396" t="s">
        <v>2015</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2020</v>
      </c>
      <c r="C4" s="408"/>
      <c r="D4" s="408"/>
      <c r="E4" s="408"/>
      <c r="F4" s="408"/>
      <c r="G4" s="284" t="s">
        <v>2</v>
      </c>
      <c r="H4" s="284"/>
      <c r="I4" s="284"/>
      <c r="J4" s="284"/>
      <c r="K4" s="284"/>
      <c r="L4" s="284"/>
      <c r="M4" s="284"/>
      <c r="N4" s="274" t="s">
        <v>3</v>
      </c>
      <c r="O4" s="274"/>
      <c r="P4" s="274"/>
      <c r="Q4" s="274"/>
      <c r="R4" s="274"/>
      <c r="S4" s="274"/>
      <c r="T4" s="338" t="s">
        <v>2016</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7">
        <v>1334567890</v>
      </c>
      <c r="C5" s="407"/>
      <c r="D5" s="407"/>
      <c r="E5" s="407"/>
      <c r="F5" s="407"/>
      <c r="G5" s="285" t="s">
        <v>2033</v>
      </c>
      <c r="H5" s="285"/>
      <c r="I5" s="285"/>
      <c r="J5" s="285"/>
      <c r="K5" s="285"/>
      <c r="L5" s="285"/>
      <c r="M5" s="285"/>
      <c r="N5" s="364" t="s">
        <v>95</v>
      </c>
      <c r="O5" s="364"/>
      <c r="P5" s="364"/>
      <c r="Q5" s="364" t="s">
        <v>96</v>
      </c>
      <c r="R5" s="364"/>
      <c r="S5" s="364"/>
      <c r="T5" s="365">
        <v>2250000</v>
      </c>
      <c r="U5" s="366"/>
      <c r="V5" s="366"/>
      <c r="W5" s="366"/>
      <c r="X5" s="366"/>
      <c r="Y5" s="366"/>
      <c r="Z5" s="366"/>
      <c r="AA5" s="366"/>
      <c r="AB5" s="367"/>
      <c r="AC5" s="353" t="s">
        <v>1981</v>
      </c>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t="s">
        <v>2034</v>
      </c>
      <c r="C8" s="410"/>
      <c r="D8" s="410"/>
      <c r="E8" s="410"/>
      <c r="F8" s="411"/>
      <c r="G8" s="415" t="s">
        <v>1894</v>
      </c>
      <c r="H8" s="416"/>
      <c r="I8" s="400" t="str">
        <f>IFERROR(IF(OR(H98=4,H98=5),IF(AM8=1,"処遇加算Ⅰ",IF(AM8=2,"処遇加算Ⅱ","")),""),"")</f>
        <v>処遇加算Ⅰ</v>
      </c>
      <c r="J8" s="401"/>
      <c r="K8" s="401"/>
      <c r="L8" s="402"/>
      <c r="M8" s="400" t="str">
        <f>IFERROR(IF(OR(H98=4,H98=5),IF(AM8=1,"特定加算なし",IF(AM8=2,"特定加算なし","")),""),"")</f>
        <v>特定加算なし</v>
      </c>
      <c r="N8" s="401"/>
      <c r="O8" s="401"/>
      <c r="P8" s="402"/>
      <c r="Q8" s="400" t="str">
        <f>IFERROR(IF(OR(H98=4,H98=5),IF(AM8=1,"ベア加算",IF(AM8=2,"ベア加算","")),""),"")</f>
        <v>ベア加算</v>
      </c>
      <c r="R8" s="401"/>
      <c r="S8" s="401"/>
      <c r="T8" s="402"/>
      <c r="U8" s="288" t="s">
        <v>1873</v>
      </c>
      <c r="V8" s="288"/>
      <c r="W8" s="288"/>
      <c r="X8" s="289"/>
      <c r="Y8" s="38"/>
      <c r="Z8" s="361" t="s">
        <v>76</v>
      </c>
      <c r="AA8" s="362"/>
      <c r="AB8" s="363"/>
      <c r="AC8" s="39"/>
      <c r="AD8" s="356" t="s">
        <v>77</v>
      </c>
      <c r="AE8" s="356"/>
      <c r="AF8" s="357"/>
      <c r="AM8" s="354">
        <v>1</v>
      </c>
      <c r="AN8" s="223" t="s">
        <v>1958</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f>IFERROR(VLOOKUP(AC5,【参考】数式用!$A$5:$N$27,MATCH(I8,【参考】数式用!$B$4:$J$4,0)+1,FALSE),"")</f>
        <v>4.3999999999999997E-2</v>
      </c>
      <c r="J9" s="290"/>
      <c r="K9" s="290"/>
      <c r="L9" s="405"/>
      <c r="M9" s="404">
        <f>IFERROR(VLOOKUP(AC5,【参考】数式用!$A$5:$N$27,MATCH(M8,【参考】数式用!$B$4:$J$4,0)+1,FALSE),"")</f>
        <v>0</v>
      </c>
      <c r="N9" s="290"/>
      <c r="O9" s="290"/>
      <c r="P9" s="405"/>
      <c r="Q9" s="404">
        <f>IFERROR(VLOOKUP(AC5,【参考】数式用!$A$5:$N$27,MATCH(Q8,【参考】数式用!$B$4:$J$4,0)+1,FALSE),"")</f>
        <v>1.0999999999999999E-2</v>
      </c>
      <c r="R9" s="290"/>
      <c r="S9" s="290"/>
      <c r="T9" s="405"/>
      <c r="U9" s="290">
        <f>SUM(I9,M9,Q9)</f>
        <v>5.4999999999999993E-2</v>
      </c>
      <c r="V9" s="290"/>
      <c r="W9" s="290"/>
      <c r="X9" s="291"/>
      <c r="Y9" s="358">
        <f>IFERROR(IF(AM8=1,VLOOKUP(AC5,【参考】数式用!$A$5:$N$27,13,FALSE),""),"")</f>
        <v>6.699999999999999E-2</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52</v>
      </c>
      <c r="C12" s="321"/>
      <c r="D12" s="321"/>
      <c r="E12" s="321"/>
      <c r="F12" s="321"/>
      <c r="G12" s="321"/>
      <c r="H12" s="321"/>
      <c r="I12" s="321"/>
      <c r="J12" s="321"/>
      <c r="K12" s="321"/>
      <c r="L12" s="321"/>
      <c r="M12" s="322"/>
      <c r="N12" s="344">
        <f>IFERROR(IF(AM8&lt;&gt;0,T105+Y105,"先に新加算の区分を選択"),"")</f>
        <v>1705500</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5" customHeight="1" thickBot="1">
      <c r="B15" s="320" t="s">
        <v>53</v>
      </c>
      <c r="C15" s="321"/>
      <c r="D15" s="321"/>
      <c r="E15" s="321"/>
      <c r="F15" s="321"/>
      <c r="G15" s="321"/>
      <c r="H15" s="321"/>
      <c r="I15" s="321"/>
      <c r="J15" s="321"/>
      <c r="K15" s="321"/>
      <c r="L15" s="321"/>
      <c r="M15" s="322"/>
      <c r="N15" s="306">
        <v>1800000</v>
      </c>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1950</v>
      </c>
      <c r="C18" s="298"/>
      <c r="D18" s="298"/>
      <c r="E18" s="298"/>
      <c r="F18" s="298"/>
      <c r="G18" s="298"/>
      <c r="H18" s="298"/>
      <c r="I18" s="298"/>
      <c r="J18" s="298"/>
      <c r="K18" s="298"/>
      <c r="L18" s="298"/>
      <c r="M18" s="299"/>
      <c r="N18" s="329">
        <f>IFERROR(ROUNDDOWN(ROUNDDOWN(ROUND(T5*VLOOKUP(AC5,【参考】数式用!$A$5:$N$37,14,FALSE),0),0)*AD108*0.5,0),"")</f>
        <v>618750</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1951</v>
      </c>
      <c r="C21" s="298"/>
      <c r="D21" s="298"/>
      <c r="E21" s="298"/>
      <c r="F21" s="298"/>
      <c r="G21" s="298"/>
      <c r="H21" s="298"/>
      <c r="I21" s="298"/>
      <c r="J21" s="298"/>
      <c r="K21" s="298"/>
      <c r="L21" s="298"/>
      <c r="M21" s="299"/>
      <c r="N21" s="306">
        <v>655000</v>
      </c>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1</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1</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1</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5"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v>6</v>
      </c>
      <c r="F58" s="242"/>
      <c r="G58" s="63" t="s">
        <v>41</v>
      </c>
      <c r="H58" s="241" t="s">
        <v>2035</v>
      </c>
      <c r="I58" s="242"/>
      <c r="J58" s="63" t="s">
        <v>42</v>
      </c>
      <c r="K58" s="241" t="s">
        <v>2035</v>
      </c>
      <c r="L58" s="242"/>
      <c r="M58" s="63" t="s">
        <v>43</v>
      </c>
      <c r="N58" s="59"/>
      <c r="O58" s="243" t="s">
        <v>44</v>
      </c>
      <c r="P58" s="243"/>
      <c r="Q58" s="243"/>
      <c r="R58" s="244" t="s">
        <v>2036</v>
      </c>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t="s">
        <v>2037</v>
      </c>
      <c r="U59" s="270"/>
      <c r="V59" s="270"/>
      <c r="W59" s="270"/>
      <c r="X59" s="270"/>
      <c r="Y59" s="282" t="s">
        <v>47</v>
      </c>
      <c r="Z59" s="282"/>
      <c r="AA59" s="270" t="s">
        <v>2038</v>
      </c>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4" t="s">
        <v>44</v>
      </c>
      <c r="C63" s="274"/>
      <c r="D63" s="274"/>
      <c r="E63" s="272" t="s">
        <v>1875</v>
      </c>
      <c r="F63" s="272"/>
      <c r="G63" s="272"/>
      <c r="H63" s="273" t="s">
        <v>2039</v>
      </c>
      <c r="I63" s="273"/>
      <c r="J63" s="273"/>
      <c r="K63" s="273"/>
      <c r="L63" s="273"/>
      <c r="M63" s="273"/>
      <c r="N63" s="273"/>
      <c r="O63" s="273"/>
      <c r="P63" s="273"/>
      <c r="Q63" s="273"/>
      <c r="R63" s="274" t="s">
        <v>1876</v>
      </c>
      <c r="S63" s="274"/>
      <c r="T63" s="274"/>
      <c r="U63" s="71" t="s">
        <v>1877</v>
      </c>
      <c r="V63" s="275">
        <v>100</v>
      </c>
      <c r="W63" s="275"/>
      <c r="X63" s="72" t="s">
        <v>1878</v>
      </c>
      <c r="Y63" s="275">
        <v>1234</v>
      </c>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○○ケアサービス</v>
      </c>
      <c r="I64" s="276"/>
      <c r="J64" s="276"/>
      <c r="K64" s="276"/>
      <c r="L64" s="276"/>
      <c r="M64" s="276"/>
      <c r="N64" s="276"/>
      <c r="O64" s="276"/>
      <c r="P64" s="276"/>
      <c r="Q64" s="276"/>
      <c r="R64" s="274"/>
      <c r="S64" s="274"/>
      <c r="T64" s="274"/>
      <c r="U64" s="277" t="s">
        <v>2040</v>
      </c>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代表取締役</v>
      </c>
      <c r="I66" s="217"/>
      <c r="J66" s="217"/>
      <c r="K66" s="217"/>
      <c r="L66" s="217"/>
      <c r="M66" s="217"/>
      <c r="N66" s="217"/>
      <c r="O66" s="274" t="s">
        <v>1881</v>
      </c>
      <c r="P66" s="274"/>
      <c r="Q66" s="274"/>
      <c r="R66" s="272" t="s">
        <v>1875</v>
      </c>
      <c r="S66" s="272"/>
      <c r="T66" s="272"/>
      <c r="U66" s="273" t="s">
        <v>2042</v>
      </c>
      <c r="V66" s="273"/>
      <c r="W66" s="273"/>
      <c r="X66" s="273"/>
      <c r="Y66" s="273"/>
      <c r="Z66" s="273"/>
      <c r="AA66" s="273"/>
      <c r="AB66" s="220" t="s">
        <v>1882</v>
      </c>
      <c r="AC66" s="221"/>
      <c r="AD66" s="221"/>
      <c r="AE66" s="222"/>
      <c r="AF66" s="216" t="s">
        <v>2043</v>
      </c>
      <c r="AG66" s="216"/>
      <c r="AH66" s="216"/>
      <c r="AI66" s="216"/>
      <c r="AJ66" s="216"/>
      <c r="AK66" s="216"/>
      <c r="AM66" s="40"/>
    </row>
    <row r="67" spans="2:39" ht="18.75">
      <c r="B67" s="274"/>
      <c r="C67" s="274"/>
      <c r="D67" s="274"/>
      <c r="E67" s="274" t="s">
        <v>47</v>
      </c>
      <c r="F67" s="274"/>
      <c r="G67" s="274"/>
      <c r="H67" s="217" t="str">
        <f t="shared" ref="H67" si="0">IF(AA59="","",AA59)</f>
        <v>厚労　花子</v>
      </c>
      <c r="I67" s="217"/>
      <c r="J67" s="217"/>
      <c r="K67" s="217"/>
      <c r="L67" s="217"/>
      <c r="M67" s="217"/>
      <c r="N67" s="217"/>
      <c r="O67" s="274"/>
      <c r="P67" s="274"/>
      <c r="Q67" s="274"/>
      <c r="R67" s="218" t="s">
        <v>47</v>
      </c>
      <c r="S67" s="218"/>
      <c r="T67" s="218"/>
      <c r="U67" s="219" t="s">
        <v>2041</v>
      </c>
      <c r="V67" s="219"/>
      <c r="W67" s="219"/>
      <c r="X67" s="219"/>
      <c r="Y67" s="219"/>
      <c r="Z67" s="219"/>
      <c r="AA67" s="219"/>
      <c r="AB67" s="220" t="s">
        <v>1883</v>
      </c>
      <c r="AC67" s="221"/>
      <c r="AD67" s="221"/>
      <c r="AE67" s="222"/>
      <c r="AF67" s="283" t="s">
        <v>2044</v>
      </c>
      <c r="AG67" s="216"/>
      <c r="AH67" s="216"/>
      <c r="AI67" s="216"/>
      <c r="AJ67" s="216"/>
      <c r="AK67" s="216"/>
      <c r="AM67" s="40"/>
    </row>
    <row r="68" spans="2:39">
      <c r="AM68" s="40"/>
    </row>
    <row r="69" spans="2:39" ht="29.25" customHeight="1" thickBot="1">
      <c r="B69" s="268" t="s">
        <v>2018</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4.2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2021</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1</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2022</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2023</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2024</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2025</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1</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1</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1</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2026</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2027</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2028</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処遇加算Ⅰ</v>
      </c>
      <c r="F103" s="382"/>
      <c r="G103" s="382"/>
      <c r="H103" s="382"/>
      <c r="I103" s="383"/>
      <c r="J103" s="371" t="str">
        <f>M8</f>
        <v>特定加算なし</v>
      </c>
      <c r="K103" s="371"/>
      <c r="L103" s="371"/>
      <c r="M103" s="371"/>
      <c r="N103" s="371"/>
      <c r="O103" s="371" t="str">
        <f>Q8</f>
        <v>ベア加算</v>
      </c>
      <c r="P103" s="371"/>
      <c r="Q103" s="371"/>
      <c r="R103" s="371"/>
      <c r="S103" s="372"/>
      <c r="T103" s="373" t="s">
        <v>1873</v>
      </c>
      <c r="U103" s="374"/>
      <c r="V103" s="374"/>
      <c r="W103" s="374"/>
      <c r="X103" s="375"/>
      <c r="Y103" s="377" t="str">
        <f>IFERROR(IF(AM8=1,"新加算Ⅲ",IF(AM8=2,"新加算Ⅳ","")),"")</f>
        <v>新加算Ⅲ</v>
      </c>
      <c r="Z103" s="378"/>
      <c r="AA103" s="378"/>
      <c r="AB103" s="378"/>
      <c r="AC103" s="378"/>
      <c r="AD103" s="378"/>
      <c r="AE103" s="379"/>
    </row>
    <row r="104" spans="2:31" ht="15" customHeight="1" thickBot="1">
      <c r="B104" s="254" t="s">
        <v>1892</v>
      </c>
      <c r="C104" s="255"/>
      <c r="D104" s="255"/>
      <c r="E104" s="265">
        <f>I9</f>
        <v>4.3999999999999997E-2</v>
      </c>
      <c r="F104" s="266"/>
      <c r="G104" s="266"/>
      <c r="H104" s="266"/>
      <c r="I104" s="267"/>
      <c r="J104" s="256">
        <f>M9</f>
        <v>0</v>
      </c>
      <c r="K104" s="256"/>
      <c r="L104" s="256"/>
      <c r="M104" s="256"/>
      <c r="N104" s="256"/>
      <c r="O104" s="256">
        <f>Q9</f>
        <v>1.0999999999999999E-2</v>
      </c>
      <c r="P104" s="256"/>
      <c r="Q104" s="256"/>
      <c r="R104" s="256"/>
      <c r="S104" s="257"/>
      <c r="T104" s="258">
        <f>U9</f>
        <v>5.4999999999999993E-2</v>
      </c>
      <c r="U104" s="258"/>
      <c r="V104" s="258"/>
      <c r="W104" s="258"/>
      <c r="X104" s="258"/>
      <c r="Y104" s="376">
        <f>IFERROR(IF(AM8=1,Y9,IF(AM8=2,AC9,"")),"")</f>
        <v>6.699999999999999E-2</v>
      </c>
      <c r="Z104" s="267"/>
      <c r="AA104" s="267"/>
      <c r="AB104" s="256"/>
      <c r="AC104" s="256"/>
      <c r="AD104" s="256"/>
      <c r="AE104" s="257"/>
    </row>
    <row r="105" spans="2:31">
      <c r="B105" s="248" t="s">
        <v>1893</v>
      </c>
      <c r="C105" s="249"/>
      <c r="D105" s="250"/>
      <c r="E105" s="261">
        <f>IFERROR(ROUNDDOWN(ROUND(T5*I9,0),0)*W108,"")</f>
        <v>198000</v>
      </c>
      <c r="F105" s="262"/>
      <c r="G105" s="262"/>
      <c r="H105" s="262"/>
      <c r="I105" s="96" t="s">
        <v>1891</v>
      </c>
      <c r="J105" s="263">
        <f>IFERROR(ROUNDDOWN(ROUND(W5*M9,0),0)*W108,"")</f>
        <v>0</v>
      </c>
      <c r="K105" s="264"/>
      <c r="L105" s="264"/>
      <c r="M105" s="264"/>
      <c r="N105" s="96" t="s">
        <v>1891</v>
      </c>
      <c r="O105" s="263">
        <f>IFERROR(ROUNDDOWN(ROUND(W5*Q9,0),0)*W108,"")</f>
        <v>0</v>
      </c>
      <c r="P105" s="264"/>
      <c r="Q105" s="264"/>
      <c r="R105" s="264"/>
      <c r="S105" s="97" t="s">
        <v>1891</v>
      </c>
      <c r="T105" s="380">
        <f>IFERROR(SUM(E105,J105,O105),"")</f>
        <v>198000</v>
      </c>
      <c r="U105" s="380"/>
      <c r="V105" s="380"/>
      <c r="W105" s="380"/>
      <c r="X105" s="98" t="s">
        <v>1891</v>
      </c>
      <c r="Y105" s="263">
        <f>IFERROR(IF(AM8=1,ROUNDDOWN(ROUND(T5*Y9,0),0)*AD108,IF(AM8=2,ROUNDDOWN(ROUND(T5*AC9,0),0)*AD108,"")),"")</f>
        <v>1507500</v>
      </c>
      <c r="Z105" s="264"/>
      <c r="AA105" s="264"/>
      <c r="AB105" s="264"/>
      <c r="AC105" s="264"/>
      <c r="AD105" s="264"/>
      <c r="AE105" s="99" t="s">
        <v>1891</v>
      </c>
    </row>
    <row r="106" spans="2:31">
      <c r="B106" s="251"/>
      <c r="C106" s="252"/>
      <c r="D106" s="253"/>
      <c r="E106" s="247" t="str">
        <f>IFERROR("("&amp;TEXT(E105/W108,"#,##0円")&amp;"/月)","")</f>
        <v>(99,000円/月)</v>
      </c>
      <c r="F106" s="259"/>
      <c r="G106" s="259"/>
      <c r="H106" s="259"/>
      <c r="I106" s="245"/>
      <c r="J106" s="246" t="str">
        <f>IFERROR("("&amp;TEXT(J105/W108,"#,##0円")&amp;"/月)","")</f>
        <v>(0円/月)</v>
      </c>
      <c r="K106" s="246"/>
      <c r="L106" s="246"/>
      <c r="M106" s="246"/>
      <c r="N106" s="246"/>
      <c r="O106" s="246" t="str">
        <f>IFERROR("("&amp;TEXT(O105/W108,"#,##0円")&amp;"/月)","")</f>
        <v>(0円/月)</v>
      </c>
      <c r="P106" s="246"/>
      <c r="Q106" s="246"/>
      <c r="R106" s="246"/>
      <c r="S106" s="246"/>
      <c r="T106" s="245" t="str">
        <f>IFERROR("("&amp;TEXT(T105/W108,"#,##0円")&amp;"/月)","")</f>
        <v>(99,000円/月)</v>
      </c>
      <c r="U106" s="246"/>
      <c r="V106" s="246"/>
      <c r="W106" s="246"/>
      <c r="X106" s="247"/>
      <c r="Y106" s="246" t="str">
        <f>IFERROR("("&amp;TEXT(Y105/AD108,"#,##0円")&amp;"/月)","")</f>
        <v>(150,750円/月)</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96"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札幌市</v>
      </c>
      <c r="AF1" s="481"/>
      <c r="AG1" s="481"/>
      <c r="AH1" s="481"/>
      <c r="AI1" s="481"/>
      <c r="AJ1" s="481"/>
      <c r="AK1" s="481"/>
    </row>
    <row r="2" spans="2:40" ht="24" customHeight="1">
      <c r="B2" s="396" t="s">
        <v>2019</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2020</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f>IF('別紙様式7-1（計画書）'!B5="","",'別紙様式7-1（計画書）'!B5)</f>
        <v>1334567890</v>
      </c>
      <c r="C5" s="481"/>
      <c r="D5" s="481"/>
      <c r="E5" s="481"/>
      <c r="F5" s="481"/>
      <c r="G5" s="479" t="str">
        <f>IF('別紙様式7-1（計画書）'!G5="","",'別紙様式7-1（計画書）'!G5)</f>
        <v>札幌市</v>
      </c>
      <c r="H5" s="479"/>
      <c r="I5" s="479"/>
      <c r="J5" s="479"/>
      <c r="K5" s="479"/>
      <c r="L5" s="479"/>
      <c r="M5" s="479"/>
      <c r="N5" s="480" t="str">
        <f>IF('別紙様式7-1（計画書）'!N5="","",'別紙様式7-1（計画書）'!N5)</f>
        <v>北海道</v>
      </c>
      <c r="O5" s="480"/>
      <c r="P5" s="480"/>
      <c r="Q5" s="480" t="str">
        <f>IF('別紙様式7-1（計画書）'!Q5="","",'別紙様式7-1（計画書）'!Q5)</f>
        <v>札幌市</v>
      </c>
      <c r="R5" s="480"/>
      <c r="S5" s="480"/>
      <c r="T5" s="482" t="str">
        <f>IF('別紙様式7-1（計画書）'!AC5="","",'別紙様式7-1（計画書）'!AC5)</f>
        <v>生活介護</v>
      </c>
      <c r="U5" s="483"/>
      <c r="V5" s="483"/>
      <c r="W5" s="483"/>
      <c r="X5" s="483"/>
      <c r="Y5" s="483"/>
      <c r="Z5" s="483"/>
      <c r="AA5" s="483"/>
      <c r="AB5" s="484"/>
      <c r="AC5" s="482" t="str">
        <f>IF('別紙様式7-1（計画書）'!B8="","",'別紙様式7-1（計画書）'!B8)</f>
        <v>○○ケアセンター</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85" t="str">
        <f>IFERROR(IF('別紙様式7-1（計画書）'!AM8=1,"新加算Ⅲ",IF('別紙様式7-1（計画書）'!AM8=2,"新加算Ⅳ","")),"")</f>
        <v>新加算Ⅲ</v>
      </c>
      <c r="V9" s="486"/>
      <c r="W9" s="486"/>
      <c r="X9" s="486"/>
      <c r="Y9" s="486"/>
      <c r="Z9" s="487"/>
      <c r="AC9" s="34"/>
    </row>
    <row r="10" spans="2:40" ht="22.5" customHeight="1" thickBot="1">
      <c r="B10" s="254" t="s">
        <v>1898</v>
      </c>
      <c r="C10" s="255"/>
      <c r="D10" s="468"/>
      <c r="E10" s="446">
        <v>562310</v>
      </c>
      <c r="F10" s="447"/>
      <c r="G10" s="447"/>
      <c r="H10" s="447"/>
      <c r="I10" s="466">
        <v>0</v>
      </c>
      <c r="J10" s="447"/>
      <c r="K10" s="447"/>
      <c r="L10" s="467"/>
      <c r="M10" s="447">
        <v>102506</v>
      </c>
      <c r="N10" s="447"/>
      <c r="O10" s="447"/>
      <c r="P10" s="447"/>
      <c r="Q10" s="456">
        <f>SUM(E10,I10,M10)</f>
        <v>664816</v>
      </c>
      <c r="R10" s="457"/>
      <c r="S10" s="457"/>
      <c r="T10" s="457"/>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1910</v>
      </c>
      <c r="C14" s="321"/>
      <c r="D14" s="321"/>
      <c r="E14" s="321"/>
      <c r="F14" s="321"/>
      <c r="G14" s="321"/>
      <c r="H14" s="321"/>
      <c r="I14" s="321"/>
      <c r="J14" s="321"/>
      <c r="K14" s="321"/>
      <c r="L14" s="321"/>
      <c r="M14" s="322"/>
      <c r="N14" s="329">
        <f>IFERROR(SUM(Q10,U10),"")</f>
        <v>4189026</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v>
      </c>
    </row>
    <row r="17" spans="2:38" s="27" customFormat="1" ht="6.95" customHeight="1" thickBot="1">
      <c r="B17" s="320" t="s">
        <v>1909</v>
      </c>
      <c r="C17" s="321"/>
      <c r="D17" s="321"/>
      <c r="E17" s="321"/>
      <c r="F17" s="321"/>
      <c r="G17" s="321"/>
      <c r="H17" s="321"/>
      <c r="I17" s="321"/>
      <c r="J17" s="321"/>
      <c r="K17" s="321"/>
      <c r="L17" s="321"/>
      <c r="M17" s="322"/>
      <c r="N17" s="306">
        <v>5000000</v>
      </c>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319012760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v>324012760</v>
      </c>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5000000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310254010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v>323895307</v>
      </c>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v>112647</v>
      </c>
      <c r="V27" s="493"/>
      <c r="W27" s="493"/>
      <c r="X27" s="493"/>
      <c r="Y27" s="493"/>
      <c r="Z27" s="494"/>
      <c r="AA27" s="105" t="s">
        <v>10</v>
      </c>
      <c r="AB27" s="109"/>
      <c r="AC27" s="109"/>
    </row>
    <row r="28" spans="2:38" ht="21.75" customHeight="1" thickBot="1">
      <c r="B28" s="489"/>
      <c r="C28" s="498" t="s">
        <v>2030</v>
      </c>
      <c r="D28" s="499"/>
      <c r="E28" s="499"/>
      <c r="F28" s="499"/>
      <c r="G28" s="499"/>
      <c r="H28" s="499"/>
      <c r="I28" s="499"/>
      <c r="J28" s="499"/>
      <c r="K28" s="499"/>
      <c r="L28" s="499"/>
      <c r="M28" s="499"/>
      <c r="N28" s="499"/>
      <c r="O28" s="499"/>
      <c r="P28" s="499"/>
      <c r="Q28" s="499"/>
      <c r="R28" s="499"/>
      <c r="S28" s="499"/>
      <c r="T28" s="500"/>
      <c r="U28" s="501">
        <v>13528650</v>
      </c>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v>7</v>
      </c>
      <c r="F52" s="433"/>
      <c r="G52" s="112" t="s">
        <v>41</v>
      </c>
      <c r="H52" s="432" t="s">
        <v>2035</v>
      </c>
      <c r="I52" s="433"/>
      <c r="J52" s="112" t="s">
        <v>42</v>
      </c>
      <c r="K52" s="432" t="s">
        <v>2035</v>
      </c>
      <c r="L52" s="433"/>
      <c r="M52" s="112" t="s">
        <v>43</v>
      </c>
      <c r="N52" s="111"/>
      <c r="O52" s="434" t="s">
        <v>44</v>
      </c>
      <c r="P52" s="434"/>
      <c r="Q52" s="434"/>
      <c r="R52" s="435" t="s">
        <v>2036</v>
      </c>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t="s">
        <v>2037</v>
      </c>
      <c r="U53" s="438"/>
      <c r="V53" s="438"/>
      <c r="W53" s="438"/>
      <c r="X53" s="438"/>
      <c r="Y53" s="439" t="s">
        <v>47</v>
      </c>
      <c r="Z53" s="439"/>
      <c r="AA53" s="438" t="s">
        <v>2038</v>
      </c>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マルマルケアサービス</v>
      </c>
      <c r="I57" s="425"/>
      <c r="J57" s="425"/>
      <c r="K57" s="425"/>
      <c r="L57" s="425"/>
      <c r="M57" s="425"/>
      <c r="N57" s="425"/>
      <c r="O57" s="425"/>
      <c r="P57" s="425"/>
      <c r="Q57" s="425"/>
      <c r="R57" s="274" t="s">
        <v>1876</v>
      </c>
      <c r="S57" s="274"/>
      <c r="T57" s="274"/>
      <c r="U57" s="71" t="s">
        <v>1877</v>
      </c>
      <c r="V57" s="426">
        <f>IF('別紙様式7-1（計画書）'!V63="","",'別紙様式7-1（計画書）'!V63)</f>
        <v>100</v>
      </c>
      <c r="W57" s="426"/>
      <c r="X57" s="72" t="s">
        <v>1878</v>
      </c>
      <c r="Y57" s="426">
        <f>IF('別紙様式7-1（計画書）'!Y63="","",'別紙様式7-1（計画書）'!Y63)</f>
        <v>1234</v>
      </c>
      <c r="Z57" s="427"/>
      <c r="AG57" s="36"/>
      <c r="AH57" s="36"/>
      <c r="AI57" s="36"/>
    </row>
    <row r="58" spans="2:37">
      <c r="B58" s="274"/>
      <c r="C58" s="274"/>
      <c r="D58" s="274"/>
      <c r="E58" s="218" t="s">
        <v>1879</v>
      </c>
      <c r="F58" s="218"/>
      <c r="G58" s="218"/>
      <c r="H58" s="428" t="str">
        <f>IF('別紙様式7-1（計画書）'!H64="","",'別紙様式7-1（計画書）'!H64)</f>
        <v>○○ケアサービス</v>
      </c>
      <c r="I58" s="428"/>
      <c r="J58" s="428"/>
      <c r="K58" s="428"/>
      <c r="L58" s="428"/>
      <c r="M58" s="428"/>
      <c r="N58" s="428"/>
      <c r="O58" s="428"/>
      <c r="P58" s="428"/>
      <c r="Q58" s="428"/>
      <c r="R58" s="274"/>
      <c r="S58" s="274"/>
      <c r="T58" s="274"/>
      <c r="U58" s="429" t="str">
        <f>IF('別紙様式7-1（計画書）'!U64="","",'別紙様式7-1（計画書）'!U64)</f>
        <v>東京都千代田区霞が関1-2-2 ○○ビル18F</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代表取締役</v>
      </c>
      <c r="I60" s="423"/>
      <c r="J60" s="423"/>
      <c r="K60" s="423"/>
      <c r="L60" s="423"/>
      <c r="M60" s="423"/>
      <c r="N60" s="423"/>
      <c r="O60" s="274" t="s">
        <v>1881</v>
      </c>
      <c r="P60" s="274"/>
      <c r="Q60" s="274"/>
      <c r="R60" s="272" t="s">
        <v>1875</v>
      </c>
      <c r="S60" s="272"/>
      <c r="T60" s="272"/>
      <c r="U60" s="425" t="str">
        <f>IF('別紙様式7-1（計画書）'!U66="","",'別紙様式7-1（計画書）'!U66)</f>
        <v>コウロウ　タロウ</v>
      </c>
      <c r="V60" s="425"/>
      <c r="W60" s="425"/>
      <c r="X60" s="425"/>
      <c r="Y60" s="425"/>
      <c r="Z60" s="425"/>
      <c r="AA60" s="425"/>
      <c r="AB60" s="220" t="s">
        <v>1882</v>
      </c>
      <c r="AC60" s="221"/>
      <c r="AD60" s="221"/>
      <c r="AE60" s="222"/>
      <c r="AF60" s="423" t="str">
        <f>IF('別紙様式7-1（計画書）'!AF66="","",'別紙様式7-1（計画書）'!AF66)</f>
        <v>03-XXXX-XXXX</v>
      </c>
      <c r="AG60" s="423"/>
      <c r="AH60" s="423"/>
      <c r="AI60" s="423"/>
      <c r="AJ60" s="423"/>
      <c r="AK60" s="423"/>
    </row>
    <row r="61" spans="2:37">
      <c r="B61" s="274"/>
      <c r="C61" s="274"/>
      <c r="D61" s="274"/>
      <c r="E61" s="274" t="s">
        <v>47</v>
      </c>
      <c r="F61" s="274"/>
      <c r="G61" s="274"/>
      <c r="H61" s="423" t="str">
        <f>IF('別紙様式7-1（計画書）'!H67="","",'別紙様式7-1（計画書）'!H67)</f>
        <v>厚労　花子</v>
      </c>
      <c r="I61" s="423"/>
      <c r="J61" s="423"/>
      <c r="K61" s="423"/>
      <c r="L61" s="423"/>
      <c r="M61" s="423"/>
      <c r="N61" s="423"/>
      <c r="O61" s="274"/>
      <c r="P61" s="274"/>
      <c r="Q61" s="274"/>
      <c r="R61" s="218" t="s">
        <v>47</v>
      </c>
      <c r="S61" s="218"/>
      <c r="T61" s="218"/>
      <c r="U61" s="424" t="str">
        <f>IF('別紙様式7-1（計画書）'!U67="","",'別紙様式7-1（計画書）'!U67)</f>
        <v>厚労　太郎</v>
      </c>
      <c r="V61" s="424"/>
      <c r="W61" s="424"/>
      <c r="X61" s="424"/>
      <c r="Y61" s="424"/>
      <c r="Z61" s="424"/>
      <c r="AA61" s="424"/>
      <c r="AB61" s="220" t="s">
        <v>1883</v>
      </c>
      <c r="AC61" s="221"/>
      <c r="AD61" s="221"/>
      <c r="AE61" s="222"/>
      <c r="AF61" s="423" t="str">
        <f>IF('別紙様式7-1（計画書）'!AF67="","",'別紙様式7-1（計画書）'!AF67)</f>
        <v>aaa@aaa.aa.jp</v>
      </c>
      <c r="AG61" s="423"/>
      <c r="AH61" s="423"/>
      <c r="AI61" s="423"/>
      <c r="AJ61" s="423"/>
      <c r="AK61" s="423"/>
    </row>
    <row r="63" spans="2:37" ht="33" customHeight="1" thickBot="1">
      <c r="B63" s="269" t="s">
        <v>2045</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4.2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2021</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1</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2023</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2024</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2025</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1</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1</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1</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2026</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2027</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2028</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2013</v>
      </c>
      <c r="D8" s="516" t="s">
        <v>1929</v>
      </c>
      <c r="E8" s="517"/>
      <c r="F8" s="22" t="s">
        <v>1930</v>
      </c>
      <c r="G8" s="22" t="s">
        <v>72</v>
      </c>
      <c r="H8" s="22" t="s">
        <v>1931</v>
      </c>
      <c r="I8" s="22" t="s">
        <v>1932</v>
      </c>
    </row>
    <row r="9" spans="1:9" ht="150.75" customHeight="1">
      <c r="A9" s="8" t="s">
        <v>73</v>
      </c>
      <c r="B9" s="20"/>
      <c r="C9" s="22" t="s">
        <v>2014</v>
      </c>
      <c r="D9" s="516" t="s">
        <v>1933</v>
      </c>
      <c r="E9" s="517"/>
      <c r="F9" s="22" t="s">
        <v>1934</v>
      </c>
      <c r="G9" s="22" t="s">
        <v>74</v>
      </c>
      <c r="H9" s="22" t="s">
        <v>1935</v>
      </c>
      <c r="I9" s="22" t="s">
        <v>1936</v>
      </c>
    </row>
    <row r="10" spans="1:9" ht="78" customHeight="1">
      <c r="A10" s="510" t="s">
        <v>1973</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9" t="s">
        <v>1961</v>
      </c>
      <c r="B17" s="520"/>
      <c r="C17" s="16" t="s">
        <v>56</v>
      </c>
      <c r="D17" s="17" t="s">
        <v>1972</v>
      </c>
      <c r="E17" s="17" t="s">
        <v>1963</v>
      </c>
      <c r="F17" s="17" t="s">
        <v>1962</v>
      </c>
      <c r="G17" s="11"/>
      <c r="H17" s="11"/>
      <c r="I17" s="11"/>
    </row>
    <row r="18" spans="1:9" ht="115.5" customHeight="1">
      <c r="A18" s="521" t="s">
        <v>1964</v>
      </c>
      <c r="B18" s="520"/>
      <c r="C18" s="18" t="s">
        <v>1924</v>
      </c>
      <c r="D18" s="18" t="s">
        <v>1927</v>
      </c>
      <c r="E18" s="18" t="s">
        <v>1967</v>
      </c>
      <c r="F18" s="18" t="s">
        <v>1968</v>
      </c>
      <c r="G18" s="11"/>
      <c r="H18" s="11"/>
      <c r="I18" s="11"/>
    </row>
    <row r="19" spans="1:9" ht="105.75" customHeight="1">
      <c r="A19" s="521" t="s">
        <v>1965</v>
      </c>
      <c r="B19" s="520"/>
      <c r="C19" s="18" t="s">
        <v>2013</v>
      </c>
      <c r="D19" s="18" t="s">
        <v>1931</v>
      </c>
      <c r="E19" s="18" t="s">
        <v>1969</v>
      </c>
      <c r="F19" s="19" t="s">
        <v>1971</v>
      </c>
      <c r="G19" s="4"/>
      <c r="H19" s="4"/>
      <c r="I19" s="4"/>
    </row>
    <row r="20" spans="1:9" ht="95.25" customHeight="1">
      <c r="A20" s="521" t="s">
        <v>1966</v>
      </c>
      <c r="B20" s="520"/>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8" t="s">
        <v>2032</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4.2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多賀 朱花(taga-ayaka.j16)</cp:lastModifiedBy>
  <cp:lastPrinted>2024-03-04T10:50:06Z</cp:lastPrinted>
  <dcterms:created xsi:type="dcterms:W3CDTF">2015-06-05T18:19:34Z</dcterms:created>
  <dcterms:modified xsi:type="dcterms:W3CDTF">2024-03-18T15:15:33Z</dcterms:modified>
</cp:coreProperties>
</file>